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60" yWindow="105" windowWidth="14940" windowHeight="12720"/>
  </bookViews>
  <sheets>
    <sheet name="Front of house" sheetId="2" r:id="rId1"/>
    <sheet name="Calcs" sheetId="1" r:id="rId2"/>
    <sheet name="Resolution tables" sheetId="4" r:id="rId3"/>
  </sheets>
  <calcPr calcId="145621"/>
</workbook>
</file>

<file path=xl/calcChain.xml><?xml version="1.0" encoding="utf-8"?>
<calcChain xmlns="http://schemas.openxmlformats.org/spreadsheetml/2006/main">
  <c r="B30" i="4" l="1"/>
  <c r="B31" i="4" s="1"/>
  <c r="B32" i="4" s="1"/>
  <c r="B33" i="4" s="1"/>
  <c r="B34" i="4" s="1"/>
  <c r="B35" i="4" s="1"/>
  <c r="B36" i="4" s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5" i="4"/>
  <c r="C21" i="1"/>
  <c r="C16" i="2"/>
  <c r="C14" i="1"/>
  <c r="C12" i="1" l="1"/>
  <c r="H21" i="1"/>
  <c r="H15" i="1"/>
  <c r="H6" i="1"/>
  <c r="C18" i="1"/>
  <c r="C15" i="1"/>
  <c r="H4" i="1" s="1"/>
  <c r="H5" i="1" l="1"/>
  <c r="K9" i="2" s="1"/>
  <c r="K11" i="2"/>
  <c r="H25" i="1"/>
  <c r="P15" i="2"/>
  <c r="H22" i="1"/>
  <c r="P16" i="2" s="1"/>
  <c r="H7" i="1"/>
  <c r="K15" i="2"/>
  <c r="C17" i="1"/>
  <c r="C19" i="1" s="1"/>
  <c r="K27" i="2" s="1"/>
  <c r="H24" i="1"/>
  <c r="Q21" i="2" l="1"/>
  <c r="C6" i="4"/>
  <c r="F6" i="4" s="1"/>
  <c r="C10" i="4"/>
  <c r="F10" i="4" s="1"/>
  <c r="C14" i="4"/>
  <c r="F14" i="4" s="1"/>
  <c r="C18" i="4"/>
  <c r="F18" i="4" s="1"/>
  <c r="C22" i="4"/>
  <c r="F22" i="4" s="1"/>
  <c r="C26" i="4"/>
  <c r="F26" i="4" s="1"/>
  <c r="C30" i="4"/>
  <c r="F30" i="4" s="1"/>
  <c r="C34" i="4"/>
  <c r="F34" i="4" s="1"/>
  <c r="C7" i="4"/>
  <c r="F7" i="4" s="1"/>
  <c r="C11" i="4"/>
  <c r="F11" i="4" s="1"/>
  <c r="C15" i="4"/>
  <c r="F15" i="4" s="1"/>
  <c r="C23" i="4"/>
  <c r="F23" i="4" s="1"/>
  <c r="C31" i="4"/>
  <c r="F31" i="4" s="1"/>
  <c r="C8" i="4"/>
  <c r="F8" i="4" s="1"/>
  <c r="C20" i="4"/>
  <c r="F20" i="4" s="1"/>
  <c r="C32" i="4"/>
  <c r="F32" i="4" s="1"/>
  <c r="C19" i="4"/>
  <c r="F19" i="4" s="1"/>
  <c r="C27" i="4"/>
  <c r="F27" i="4" s="1"/>
  <c r="C35" i="4"/>
  <c r="F35" i="4" s="1"/>
  <c r="C12" i="4"/>
  <c r="F12" i="4" s="1"/>
  <c r="C24" i="4"/>
  <c r="F24" i="4" s="1"/>
  <c r="C36" i="4"/>
  <c r="F36" i="4" s="1"/>
  <c r="C16" i="4"/>
  <c r="F16" i="4" s="1"/>
  <c r="C28" i="4"/>
  <c r="F28" i="4" s="1"/>
  <c r="C5" i="4"/>
  <c r="F5" i="4" s="1"/>
  <c r="C9" i="4"/>
  <c r="F9" i="4" s="1"/>
  <c r="C13" i="4"/>
  <c r="F13" i="4" s="1"/>
  <c r="C17" i="4"/>
  <c r="F17" i="4" s="1"/>
  <c r="C21" i="4"/>
  <c r="F21" i="4" s="1"/>
  <c r="C25" i="4"/>
  <c r="F25" i="4" s="1"/>
  <c r="C29" i="4"/>
  <c r="F29" i="4" s="1"/>
  <c r="C33" i="4"/>
  <c r="F33" i="4" s="1"/>
  <c r="C4" i="4"/>
  <c r="F4" i="4" s="1"/>
  <c r="Q20" i="2"/>
  <c r="D18" i="4"/>
  <c r="G18" i="4" s="1"/>
  <c r="D26" i="4"/>
  <c r="G26" i="4" s="1"/>
  <c r="D34" i="4"/>
  <c r="G34" i="4" s="1"/>
  <c r="D5" i="4"/>
  <c r="G5" i="4" s="1"/>
  <c r="D17" i="4"/>
  <c r="G17" i="4" s="1"/>
  <c r="D33" i="4"/>
  <c r="G33" i="4" s="1"/>
  <c r="D6" i="4"/>
  <c r="G6" i="4" s="1"/>
  <c r="D10" i="4"/>
  <c r="G10" i="4" s="1"/>
  <c r="D14" i="4"/>
  <c r="G14" i="4" s="1"/>
  <c r="D22" i="4"/>
  <c r="G22" i="4" s="1"/>
  <c r="D30" i="4"/>
  <c r="G30" i="4" s="1"/>
  <c r="D9" i="4"/>
  <c r="G9" i="4" s="1"/>
  <c r="D21" i="4"/>
  <c r="G21" i="4" s="1"/>
  <c r="D29" i="4"/>
  <c r="G29" i="4" s="1"/>
  <c r="D7" i="4"/>
  <c r="G7" i="4" s="1"/>
  <c r="D11" i="4"/>
  <c r="G11" i="4" s="1"/>
  <c r="D15" i="4"/>
  <c r="G15" i="4" s="1"/>
  <c r="D19" i="4"/>
  <c r="G19" i="4" s="1"/>
  <c r="D23" i="4"/>
  <c r="G23" i="4" s="1"/>
  <c r="D27" i="4"/>
  <c r="G27" i="4" s="1"/>
  <c r="D31" i="4"/>
  <c r="G31" i="4" s="1"/>
  <c r="D35" i="4"/>
  <c r="G35" i="4" s="1"/>
  <c r="D8" i="4"/>
  <c r="G8" i="4" s="1"/>
  <c r="D12" i="4"/>
  <c r="G12" i="4" s="1"/>
  <c r="D16" i="4"/>
  <c r="G16" i="4" s="1"/>
  <c r="D20" i="4"/>
  <c r="G20" i="4" s="1"/>
  <c r="D24" i="4"/>
  <c r="G24" i="4" s="1"/>
  <c r="D28" i="4"/>
  <c r="G28" i="4" s="1"/>
  <c r="D32" i="4"/>
  <c r="G32" i="4" s="1"/>
  <c r="D36" i="4"/>
  <c r="G36" i="4" s="1"/>
  <c r="D4" i="4"/>
  <c r="G4" i="4" s="1"/>
  <c r="D13" i="4"/>
  <c r="G13" i="4" s="1"/>
  <c r="D25" i="4"/>
  <c r="G25" i="4" s="1"/>
  <c r="H19" i="1"/>
  <c r="K23" i="2" s="1"/>
  <c r="K19" i="2"/>
</calcChain>
</file>

<file path=xl/comments1.xml><?xml version="1.0" encoding="utf-8"?>
<comments xmlns="http://schemas.openxmlformats.org/spreadsheetml/2006/main">
  <authors>
    <author>Dan</author>
  </authors>
  <commentList>
    <comment ref="K11" authorId="0">
      <text>
        <r>
          <rPr>
            <b/>
            <sz val="9"/>
            <color indexed="81"/>
            <rFont val="Tahoma"/>
            <family val="2"/>
          </rPr>
          <t>Dan: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(Angular size of side of equilateral triangle formed between neighbouring cores at input end of bundle, assuming hexagonal packing.)</t>
        </r>
      </text>
    </comment>
  </commentList>
</comments>
</file>

<file path=xl/sharedStrings.xml><?xml version="1.0" encoding="utf-8"?>
<sst xmlns="http://schemas.openxmlformats.org/spreadsheetml/2006/main" count="85" uniqueCount="61">
  <si>
    <t>Fibre core diameter</t>
  </si>
  <si>
    <t>Fibre total diameter</t>
  </si>
  <si>
    <t>Telescope diameter</t>
  </si>
  <si>
    <t>Telescope F number</t>
  </si>
  <si>
    <t>INPUT F# multiplier</t>
  </si>
  <si>
    <t>OUTPUT F# multiplier</t>
  </si>
  <si>
    <t>Slit actual height</t>
  </si>
  <si>
    <t>mm</t>
  </si>
  <si>
    <t>Plate scale</t>
  </si>
  <si>
    <t>Packing fraction</t>
  </si>
  <si>
    <t>Possible #fibres</t>
  </si>
  <si>
    <t>FRD reduction</t>
  </si>
  <si>
    <t>Final F number</t>
  </si>
  <si>
    <t>Into-Fibre F number</t>
  </si>
  <si>
    <t>Fibre sample area</t>
  </si>
  <si>
    <t>"/mm</t>
  </si>
  <si>
    <t>Slit effective height</t>
  </si>
  <si>
    <t>F number out of fibre</t>
  </si>
  <si>
    <t>Metres of cable</t>
  </si>
  <si>
    <t>Length of fibre feed</t>
  </si>
  <si>
    <t>m</t>
  </si>
  <si>
    <t>More realistic # fibre (breakages)</t>
  </si>
  <si>
    <t>Possible # active fibres in slit</t>
  </si>
  <si>
    <t>#pixels per spectral element</t>
  </si>
  <si>
    <t>"</t>
  </si>
  <si>
    <t>Angular dispersion of low res. Grating</t>
  </si>
  <si>
    <t>A/pixel</t>
  </si>
  <si>
    <t>Angular dispersion of high res. Grating</t>
  </si>
  <si>
    <t>Angstrom size of spectral element Low R</t>
  </si>
  <si>
    <t>Angstrom size of spectral element High R</t>
  </si>
  <si>
    <t>#pixels separation</t>
  </si>
  <si>
    <t>In-slit fibre spacing</t>
  </si>
  <si>
    <t>Desired fibre core effective width</t>
  </si>
  <si>
    <t>Camera pixel pitch</t>
  </si>
  <si>
    <t>So core spacing</t>
  </si>
  <si>
    <t>Spectrograph calculations</t>
  </si>
  <si>
    <t>INPUTS</t>
  </si>
  <si>
    <t>Angular sample per fibre</t>
  </si>
  <si>
    <t>Desired effective slit width</t>
  </si>
  <si>
    <t>um</t>
  </si>
  <si>
    <t>Required multiplier of 2nd expander</t>
  </si>
  <si>
    <t>Effective slit height</t>
  </si>
  <si>
    <t>Possible #fibres in the slit</t>
  </si>
  <si>
    <t>&amp;</t>
  </si>
  <si>
    <t>Gaps between neighbouring cores in bundle</t>
  </si>
  <si>
    <t>Pixels per spectral element</t>
  </si>
  <si>
    <t>Angstrom size of element</t>
  </si>
  <si>
    <t>High R</t>
  </si>
  <si>
    <t>Low R</t>
  </si>
  <si>
    <t>FRD multiplier</t>
  </si>
  <si>
    <t>Pixel gap between adjacent spectra</t>
  </si>
  <si>
    <t>A</t>
  </si>
  <si>
    <t>px</t>
  </si>
  <si>
    <t>Optical speed at spectrograph</t>
  </si>
  <si>
    <t>(Multiplier applied to focal ratio of light entering spectrograph)</t>
  </si>
  <si>
    <t>Wavelength</t>
  </si>
  <si>
    <t>Spectral Resolution</t>
  </si>
  <si>
    <t>Velocity resolution</t>
  </si>
  <si>
    <t>SETS</t>
  </si>
  <si>
    <t>And also sets:</t>
  </si>
  <si>
    <t>1st Expander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</si>
</sst>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3F3F3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sz val="18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6">
    <xf numFmtId="0" fontId="0" fillId="0" borderId="0" xfId="0"/>
    <xf numFmtId="10" fontId="0" fillId="0" borderId="0" xfId="0" applyNumberFormat="1"/>
    <xf numFmtId="0" fontId="1" fillId="2" borderId="1" xfId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2" fontId="2" fillId="3" borderId="2" xfId="2" applyNumberFormat="1"/>
    <xf numFmtId="0" fontId="2" fillId="3" borderId="2" xfId="2"/>
    <xf numFmtId="2" fontId="5" fillId="3" borderId="2" xfId="2" applyNumberFormat="1" applyFont="1"/>
    <xf numFmtId="165" fontId="2" fillId="3" borderId="2" xfId="2" applyNumberFormat="1"/>
    <xf numFmtId="0" fontId="5" fillId="3" borderId="2" xfId="2" applyFont="1"/>
    <xf numFmtId="0" fontId="9" fillId="2" borderId="1" xfId="1" applyFont="1"/>
    <xf numFmtId="0" fontId="0" fillId="0" borderId="0" xfId="0" applyFont="1"/>
  </cellXfs>
  <cellStyles count="3"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Spectral Resolution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Low R Grating</c:v>
          </c:tx>
          <c:marker>
            <c:symbol val="none"/>
          </c:marker>
          <c:cat>
            <c:numRef>
              <c:f>'Resolution tables'!$B$4:$B$36</c:f>
              <c:numCache>
                <c:formatCode>General</c:formatCode>
                <c:ptCount val="33"/>
                <c:pt idx="0">
                  <c:v>3800</c:v>
                </c:pt>
                <c:pt idx="1">
                  <c:v>3900</c:v>
                </c:pt>
                <c:pt idx="2">
                  <c:v>4000</c:v>
                </c:pt>
                <c:pt idx="3">
                  <c:v>4100</c:v>
                </c:pt>
                <c:pt idx="4">
                  <c:v>4200</c:v>
                </c:pt>
                <c:pt idx="5">
                  <c:v>4300</c:v>
                </c:pt>
                <c:pt idx="6">
                  <c:v>4400</c:v>
                </c:pt>
                <c:pt idx="7">
                  <c:v>4500</c:v>
                </c:pt>
                <c:pt idx="8">
                  <c:v>4600</c:v>
                </c:pt>
                <c:pt idx="9">
                  <c:v>4700</c:v>
                </c:pt>
                <c:pt idx="10">
                  <c:v>4800</c:v>
                </c:pt>
                <c:pt idx="11">
                  <c:v>4900</c:v>
                </c:pt>
                <c:pt idx="12">
                  <c:v>5000</c:v>
                </c:pt>
                <c:pt idx="13">
                  <c:v>5100</c:v>
                </c:pt>
                <c:pt idx="14">
                  <c:v>5200</c:v>
                </c:pt>
                <c:pt idx="15">
                  <c:v>5300</c:v>
                </c:pt>
                <c:pt idx="16">
                  <c:v>5400</c:v>
                </c:pt>
                <c:pt idx="17">
                  <c:v>5500</c:v>
                </c:pt>
                <c:pt idx="18">
                  <c:v>5600</c:v>
                </c:pt>
                <c:pt idx="19">
                  <c:v>5700</c:v>
                </c:pt>
                <c:pt idx="20">
                  <c:v>5800</c:v>
                </c:pt>
                <c:pt idx="21">
                  <c:v>5900</c:v>
                </c:pt>
                <c:pt idx="22">
                  <c:v>6000</c:v>
                </c:pt>
                <c:pt idx="23">
                  <c:v>6100</c:v>
                </c:pt>
                <c:pt idx="24">
                  <c:v>6200</c:v>
                </c:pt>
                <c:pt idx="25">
                  <c:v>6300</c:v>
                </c:pt>
                <c:pt idx="26">
                  <c:v>6400</c:v>
                </c:pt>
                <c:pt idx="27">
                  <c:v>6500</c:v>
                </c:pt>
                <c:pt idx="28">
                  <c:v>6600</c:v>
                </c:pt>
                <c:pt idx="29">
                  <c:v>6700</c:v>
                </c:pt>
                <c:pt idx="30">
                  <c:v>6800</c:v>
                </c:pt>
                <c:pt idx="31">
                  <c:v>6900</c:v>
                </c:pt>
                <c:pt idx="32">
                  <c:v>7000</c:v>
                </c:pt>
              </c:numCache>
            </c:numRef>
          </c:cat>
          <c:val>
            <c:numRef>
              <c:f>'Resolution tables'!$C$4:$C$36</c:f>
              <c:numCache>
                <c:formatCode>General</c:formatCode>
                <c:ptCount val="33"/>
                <c:pt idx="0">
                  <c:v>441.8604651162791</c:v>
                </c:pt>
                <c:pt idx="1">
                  <c:v>453.48837209302326</c:v>
                </c:pt>
                <c:pt idx="2">
                  <c:v>465.11627906976747</c:v>
                </c:pt>
                <c:pt idx="3">
                  <c:v>476.74418604651163</c:v>
                </c:pt>
                <c:pt idx="4">
                  <c:v>488.37209302325584</c:v>
                </c:pt>
                <c:pt idx="5">
                  <c:v>500</c:v>
                </c:pt>
                <c:pt idx="6">
                  <c:v>511.62790697674421</c:v>
                </c:pt>
                <c:pt idx="7">
                  <c:v>523.25581395348843</c:v>
                </c:pt>
                <c:pt idx="8">
                  <c:v>534.88372093023258</c:v>
                </c:pt>
                <c:pt idx="9">
                  <c:v>546.51162790697674</c:v>
                </c:pt>
                <c:pt idx="10">
                  <c:v>558.1395348837209</c:v>
                </c:pt>
                <c:pt idx="11">
                  <c:v>569.76744186046517</c:v>
                </c:pt>
                <c:pt idx="12">
                  <c:v>581.39534883720933</c:v>
                </c:pt>
                <c:pt idx="13">
                  <c:v>593.02325581395348</c:v>
                </c:pt>
                <c:pt idx="14">
                  <c:v>604.65116279069775</c:v>
                </c:pt>
                <c:pt idx="15">
                  <c:v>616.27906976744191</c:v>
                </c:pt>
                <c:pt idx="16">
                  <c:v>627.90697674418607</c:v>
                </c:pt>
                <c:pt idx="17">
                  <c:v>639.53488372093022</c:v>
                </c:pt>
                <c:pt idx="18">
                  <c:v>651.1627906976745</c:v>
                </c:pt>
                <c:pt idx="19">
                  <c:v>662.79069767441865</c:v>
                </c:pt>
                <c:pt idx="20">
                  <c:v>674.41860465116281</c:v>
                </c:pt>
                <c:pt idx="21">
                  <c:v>686.04651162790697</c:v>
                </c:pt>
                <c:pt idx="22">
                  <c:v>697.67441860465124</c:v>
                </c:pt>
                <c:pt idx="23">
                  <c:v>709.30232558139539</c:v>
                </c:pt>
                <c:pt idx="24">
                  <c:v>720.93023255813955</c:v>
                </c:pt>
                <c:pt idx="25">
                  <c:v>732.55813953488371</c:v>
                </c:pt>
                <c:pt idx="26">
                  <c:v>744.18604651162798</c:v>
                </c:pt>
                <c:pt idx="27">
                  <c:v>755.81395348837214</c:v>
                </c:pt>
                <c:pt idx="28">
                  <c:v>767.44186046511629</c:v>
                </c:pt>
                <c:pt idx="29">
                  <c:v>779.06976744186045</c:v>
                </c:pt>
                <c:pt idx="30">
                  <c:v>790.69767441860472</c:v>
                </c:pt>
                <c:pt idx="31">
                  <c:v>802.32558139534888</c:v>
                </c:pt>
                <c:pt idx="32">
                  <c:v>813.95348837209303</c:v>
                </c:pt>
              </c:numCache>
            </c:numRef>
          </c:val>
          <c:smooth val="0"/>
        </c:ser>
        <c:ser>
          <c:idx val="1"/>
          <c:order val="1"/>
          <c:tx>
            <c:v>High R Grating</c:v>
          </c:tx>
          <c:marker>
            <c:symbol val="none"/>
          </c:marker>
          <c:cat>
            <c:numRef>
              <c:f>'Resolution tables'!$B$4:$B$36</c:f>
              <c:numCache>
                <c:formatCode>General</c:formatCode>
                <c:ptCount val="33"/>
                <c:pt idx="0">
                  <c:v>3800</c:v>
                </c:pt>
                <c:pt idx="1">
                  <c:v>3900</c:v>
                </c:pt>
                <c:pt idx="2">
                  <c:v>4000</c:v>
                </c:pt>
                <c:pt idx="3">
                  <c:v>4100</c:v>
                </c:pt>
                <c:pt idx="4">
                  <c:v>4200</c:v>
                </c:pt>
                <c:pt idx="5">
                  <c:v>4300</c:v>
                </c:pt>
                <c:pt idx="6">
                  <c:v>4400</c:v>
                </c:pt>
                <c:pt idx="7">
                  <c:v>4500</c:v>
                </c:pt>
                <c:pt idx="8">
                  <c:v>4600</c:v>
                </c:pt>
                <c:pt idx="9">
                  <c:v>4700</c:v>
                </c:pt>
                <c:pt idx="10">
                  <c:v>4800</c:v>
                </c:pt>
                <c:pt idx="11">
                  <c:v>4900</c:v>
                </c:pt>
                <c:pt idx="12">
                  <c:v>5000</c:v>
                </c:pt>
                <c:pt idx="13">
                  <c:v>5100</c:v>
                </c:pt>
                <c:pt idx="14">
                  <c:v>5200</c:v>
                </c:pt>
                <c:pt idx="15">
                  <c:v>5300</c:v>
                </c:pt>
                <c:pt idx="16">
                  <c:v>5400</c:v>
                </c:pt>
                <c:pt idx="17">
                  <c:v>5500</c:v>
                </c:pt>
                <c:pt idx="18">
                  <c:v>5600</c:v>
                </c:pt>
                <c:pt idx="19">
                  <c:v>5700</c:v>
                </c:pt>
                <c:pt idx="20">
                  <c:v>5800</c:v>
                </c:pt>
                <c:pt idx="21">
                  <c:v>5900</c:v>
                </c:pt>
                <c:pt idx="22">
                  <c:v>6000</c:v>
                </c:pt>
                <c:pt idx="23">
                  <c:v>6100</c:v>
                </c:pt>
                <c:pt idx="24">
                  <c:v>6200</c:v>
                </c:pt>
                <c:pt idx="25">
                  <c:v>6300</c:v>
                </c:pt>
                <c:pt idx="26">
                  <c:v>6400</c:v>
                </c:pt>
                <c:pt idx="27">
                  <c:v>6500</c:v>
                </c:pt>
                <c:pt idx="28">
                  <c:v>6600</c:v>
                </c:pt>
                <c:pt idx="29">
                  <c:v>6700</c:v>
                </c:pt>
                <c:pt idx="30">
                  <c:v>6800</c:v>
                </c:pt>
                <c:pt idx="31">
                  <c:v>6900</c:v>
                </c:pt>
                <c:pt idx="32">
                  <c:v>7000</c:v>
                </c:pt>
              </c:numCache>
            </c:numRef>
          </c:cat>
          <c:val>
            <c:numRef>
              <c:f>'Resolution tables'!$D$4:$D$36</c:f>
              <c:numCache>
                <c:formatCode>General</c:formatCode>
                <c:ptCount val="33"/>
                <c:pt idx="0">
                  <c:v>1775.700934579439</c:v>
                </c:pt>
                <c:pt idx="1">
                  <c:v>1822.429906542056</c:v>
                </c:pt>
                <c:pt idx="2">
                  <c:v>1869.1588785046729</c:v>
                </c:pt>
                <c:pt idx="3">
                  <c:v>1915.8878504672896</c:v>
                </c:pt>
                <c:pt idx="4">
                  <c:v>1962.6168224299065</c:v>
                </c:pt>
                <c:pt idx="5">
                  <c:v>2009.3457943925232</c:v>
                </c:pt>
                <c:pt idx="6">
                  <c:v>2056.0747663551401</c:v>
                </c:pt>
                <c:pt idx="7">
                  <c:v>2102.8037383177571</c:v>
                </c:pt>
                <c:pt idx="8">
                  <c:v>2149.5327102803735</c:v>
                </c:pt>
                <c:pt idx="9">
                  <c:v>2196.2616822429904</c:v>
                </c:pt>
                <c:pt idx="10">
                  <c:v>2242.9906542056074</c:v>
                </c:pt>
                <c:pt idx="11">
                  <c:v>2289.7196261682243</c:v>
                </c:pt>
                <c:pt idx="12">
                  <c:v>2336.4485981308408</c:v>
                </c:pt>
                <c:pt idx="13">
                  <c:v>2383.1775700934577</c:v>
                </c:pt>
                <c:pt idx="14">
                  <c:v>2429.9065420560746</c:v>
                </c:pt>
                <c:pt idx="15">
                  <c:v>2476.6355140186915</c:v>
                </c:pt>
                <c:pt idx="16">
                  <c:v>2523.3644859813085</c:v>
                </c:pt>
                <c:pt idx="17">
                  <c:v>2570.0934579439249</c:v>
                </c:pt>
                <c:pt idx="18">
                  <c:v>2616.8224299065419</c:v>
                </c:pt>
                <c:pt idx="19">
                  <c:v>2663.5514018691588</c:v>
                </c:pt>
                <c:pt idx="20">
                  <c:v>2710.2803738317757</c:v>
                </c:pt>
                <c:pt idx="21">
                  <c:v>2757.0093457943922</c:v>
                </c:pt>
                <c:pt idx="22">
                  <c:v>2803.7383177570091</c:v>
                </c:pt>
                <c:pt idx="23">
                  <c:v>2850.467289719626</c:v>
                </c:pt>
                <c:pt idx="24">
                  <c:v>2897.1962616822429</c:v>
                </c:pt>
                <c:pt idx="25">
                  <c:v>2943.9252336448594</c:v>
                </c:pt>
                <c:pt idx="26">
                  <c:v>2990.6542056074763</c:v>
                </c:pt>
                <c:pt idx="27">
                  <c:v>3037.3831775700933</c:v>
                </c:pt>
                <c:pt idx="28">
                  <c:v>3084.1121495327102</c:v>
                </c:pt>
                <c:pt idx="29">
                  <c:v>3130.8411214953271</c:v>
                </c:pt>
                <c:pt idx="30">
                  <c:v>3177.5700934579436</c:v>
                </c:pt>
                <c:pt idx="31">
                  <c:v>3224.2990654205605</c:v>
                </c:pt>
                <c:pt idx="32">
                  <c:v>3271.0280373831774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62368"/>
        <c:axId val="82364288"/>
      </c:lineChart>
      <c:catAx>
        <c:axId val="8236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Wavelength, Angstroms</a:t>
                </a:r>
              </a:p>
            </c:rich>
          </c:tx>
          <c:layout>
            <c:manualLayout>
              <c:xMode val="edge"/>
              <c:yMode val="edge"/>
              <c:x val="0.32876465441819774"/>
              <c:y val="0.878680373286672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2364288"/>
        <c:crosses val="autoZero"/>
        <c:auto val="1"/>
        <c:lblAlgn val="ctr"/>
        <c:lblOffset val="100"/>
        <c:noMultiLvlLbl val="0"/>
      </c:catAx>
      <c:valAx>
        <c:axId val="82364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Resolution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362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Velocity resolution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Low R Grating</c:v>
          </c:tx>
          <c:marker>
            <c:symbol val="none"/>
          </c:marker>
          <c:cat>
            <c:numRef>
              <c:f>'Resolution tables'!$B$4:$B$36</c:f>
              <c:numCache>
                <c:formatCode>General</c:formatCode>
                <c:ptCount val="33"/>
                <c:pt idx="0">
                  <c:v>3800</c:v>
                </c:pt>
                <c:pt idx="1">
                  <c:v>3900</c:v>
                </c:pt>
                <c:pt idx="2">
                  <c:v>4000</c:v>
                </c:pt>
                <c:pt idx="3">
                  <c:v>4100</c:v>
                </c:pt>
                <c:pt idx="4">
                  <c:v>4200</c:v>
                </c:pt>
                <c:pt idx="5">
                  <c:v>4300</c:v>
                </c:pt>
                <c:pt idx="6">
                  <c:v>4400</c:v>
                </c:pt>
                <c:pt idx="7">
                  <c:v>4500</c:v>
                </c:pt>
                <c:pt idx="8">
                  <c:v>4600</c:v>
                </c:pt>
                <c:pt idx="9">
                  <c:v>4700</c:v>
                </c:pt>
                <c:pt idx="10">
                  <c:v>4800</c:v>
                </c:pt>
                <c:pt idx="11">
                  <c:v>4900</c:v>
                </c:pt>
                <c:pt idx="12">
                  <c:v>5000</c:v>
                </c:pt>
                <c:pt idx="13">
                  <c:v>5100</c:v>
                </c:pt>
                <c:pt idx="14">
                  <c:v>5200</c:v>
                </c:pt>
                <c:pt idx="15">
                  <c:v>5300</c:v>
                </c:pt>
                <c:pt idx="16">
                  <c:v>5400</c:v>
                </c:pt>
                <c:pt idx="17">
                  <c:v>5500</c:v>
                </c:pt>
                <c:pt idx="18">
                  <c:v>5600</c:v>
                </c:pt>
                <c:pt idx="19">
                  <c:v>5700</c:v>
                </c:pt>
                <c:pt idx="20">
                  <c:v>5800</c:v>
                </c:pt>
                <c:pt idx="21">
                  <c:v>5900</c:v>
                </c:pt>
                <c:pt idx="22">
                  <c:v>6000</c:v>
                </c:pt>
                <c:pt idx="23">
                  <c:v>6100</c:v>
                </c:pt>
                <c:pt idx="24">
                  <c:v>6200</c:v>
                </c:pt>
                <c:pt idx="25">
                  <c:v>6300</c:v>
                </c:pt>
                <c:pt idx="26">
                  <c:v>6400</c:v>
                </c:pt>
                <c:pt idx="27">
                  <c:v>6500</c:v>
                </c:pt>
                <c:pt idx="28">
                  <c:v>6600</c:v>
                </c:pt>
                <c:pt idx="29">
                  <c:v>6700</c:v>
                </c:pt>
                <c:pt idx="30">
                  <c:v>6800</c:v>
                </c:pt>
                <c:pt idx="31">
                  <c:v>6900</c:v>
                </c:pt>
                <c:pt idx="32">
                  <c:v>7000</c:v>
                </c:pt>
              </c:numCache>
            </c:numRef>
          </c:cat>
          <c:val>
            <c:numRef>
              <c:f>'Resolution tables'!$F$4:$F$36</c:f>
              <c:numCache>
                <c:formatCode>General</c:formatCode>
                <c:ptCount val="33"/>
                <c:pt idx="0">
                  <c:v>678.9473684210526</c:v>
                </c:pt>
                <c:pt idx="1">
                  <c:v>661.53846153846155</c:v>
                </c:pt>
                <c:pt idx="2">
                  <c:v>645</c:v>
                </c:pt>
                <c:pt idx="3">
                  <c:v>629.26829268292681</c:v>
                </c:pt>
                <c:pt idx="4">
                  <c:v>614.28571428571422</c:v>
                </c:pt>
                <c:pt idx="5">
                  <c:v>600</c:v>
                </c:pt>
                <c:pt idx="6">
                  <c:v>586.36363636363637</c:v>
                </c:pt>
                <c:pt idx="7">
                  <c:v>573.33333333333326</c:v>
                </c:pt>
                <c:pt idx="8">
                  <c:v>560.86956521739125</c:v>
                </c:pt>
                <c:pt idx="9">
                  <c:v>548.936170212766</c:v>
                </c:pt>
                <c:pt idx="10">
                  <c:v>537.5</c:v>
                </c:pt>
                <c:pt idx="11">
                  <c:v>526.53061224489795</c:v>
                </c:pt>
                <c:pt idx="12">
                  <c:v>516</c:v>
                </c:pt>
                <c:pt idx="13">
                  <c:v>505.88235294117646</c:v>
                </c:pt>
                <c:pt idx="14">
                  <c:v>496.15384615384608</c:v>
                </c:pt>
                <c:pt idx="15">
                  <c:v>486.79245283018867</c:v>
                </c:pt>
                <c:pt idx="16">
                  <c:v>477.77777777777777</c:v>
                </c:pt>
                <c:pt idx="17">
                  <c:v>469.09090909090912</c:v>
                </c:pt>
                <c:pt idx="18">
                  <c:v>460.71428571428567</c:v>
                </c:pt>
                <c:pt idx="19">
                  <c:v>452.63157894736838</c:v>
                </c:pt>
                <c:pt idx="20">
                  <c:v>444.82758620689651</c:v>
                </c:pt>
                <c:pt idx="21">
                  <c:v>437.28813559322032</c:v>
                </c:pt>
                <c:pt idx="22">
                  <c:v>429.99999999999994</c:v>
                </c:pt>
                <c:pt idx="23">
                  <c:v>422.9508196721311</c:v>
                </c:pt>
                <c:pt idx="24">
                  <c:v>416.12903225806451</c:v>
                </c:pt>
                <c:pt idx="25">
                  <c:v>409.52380952380952</c:v>
                </c:pt>
                <c:pt idx="26">
                  <c:v>403.12499999999994</c:v>
                </c:pt>
                <c:pt idx="27">
                  <c:v>396.92307692307691</c:v>
                </c:pt>
                <c:pt idx="28">
                  <c:v>390.90909090909088</c:v>
                </c:pt>
                <c:pt idx="29">
                  <c:v>385.07462686567163</c:v>
                </c:pt>
                <c:pt idx="30">
                  <c:v>379.41176470588232</c:v>
                </c:pt>
                <c:pt idx="31">
                  <c:v>373.91304347826087</c:v>
                </c:pt>
                <c:pt idx="32">
                  <c:v>368.57142857142856</c:v>
                </c:pt>
              </c:numCache>
            </c:numRef>
          </c:val>
          <c:smooth val="0"/>
        </c:ser>
        <c:ser>
          <c:idx val="1"/>
          <c:order val="1"/>
          <c:tx>
            <c:v>High R Grating</c:v>
          </c:tx>
          <c:marker>
            <c:symbol val="none"/>
          </c:marker>
          <c:cat>
            <c:numRef>
              <c:f>'Resolution tables'!$B$4:$B$36</c:f>
              <c:numCache>
                <c:formatCode>General</c:formatCode>
                <c:ptCount val="33"/>
                <c:pt idx="0">
                  <c:v>3800</c:v>
                </c:pt>
                <c:pt idx="1">
                  <c:v>3900</c:v>
                </c:pt>
                <c:pt idx="2">
                  <c:v>4000</c:v>
                </c:pt>
                <c:pt idx="3">
                  <c:v>4100</c:v>
                </c:pt>
                <c:pt idx="4">
                  <c:v>4200</c:v>
                </c:pt>
                <c:pt idx="5">
                  <c:v>4300</c:v>
                </c:pt>
                <c:pt idx="6">
                  <c:v>4400</c:v>
                </c:pt>
                <c:pt idx="7">
                  <c:v>4500</c:v>
                </c:pt>
                <c:pt idx="8">
                  <c:v>4600</c:v>
                </c:pt>
                <c:pt idx="9">
                  <c:v>4700</c:v>
                </c:pt>
                <c:pt idx="10">
                  <c:v>4800</c:v>
                </c:pt>
                <c:pt idx="11">
                  <c:v>4900</c:v>
                </c:pt>
                <c:pt idx="12">
                  <c:v>5000</c:v>
                </c:pt>
                <c:pt idx="13">
                  <c:v>5100</c:v>
                </c:pt>
                <c:pt idx="14">
                  <c:v>5200</c:v>
                </c:pt>
                <c:pt idx="15">
                  <c:v>5300</c:v>
                </c:pt>
                <c:pt idx="16">
                  <c:v>5400</c:v>
                </c:pt>
                <c:pt idx="17">
                  <c:v>5500</c:v>
                </c:pt>
                <c:pt idx="18">
                  <c:v>5600</c:v>
                </c:pt>
                <c:pt idx="19">
                  <c:v>5700</c:v>
                </c:pt>
                <c:pt idx="20">
                  <c:v>5800</c:v>
                </c:pt>
                <c:pt idx="21">
                  <c:v>5900</c:v>
                </c:pt>
                <c:pt idx="22">
                  <c:v>6000</c:v>
                </c:pt>
                <c:pt idx="23">
                  <c:v>6100</c:v>
                </c:pt>
                <c:pt idx="24">
                  <c:v>6200</c:v>
                </c:pt>
                <c:pt idx="25">
                  <c:v>6300</c:v>
                </c:pt>
                <c:pt idx="26">
                  <c:v>6400</c:v>
                </c:pt>
                <c:pt idx="27">
                  <c:v>6500</c:v>
                </c:pt>
                <c:pt idx="28">
                  <c:v>6600</c:v>
                </c:pt>
                <c:pt idx="29">
                  <c:v>6700</c:v>
                </c:pt>
                <c:pt idx="30">
                  <c:v>6800</c:v>
                </c:pt>
                <c:pt idx="31">
                  <c:v>6900</c:v>
                </c:pt>
                <c:pt idx="32">
                  <c:v>7000</c:v>
                </c:pt>
              </c:numCache>
            </c:numRef>
          </c:cat>
          <c:val>
            <c:numRef>
              <c:f>'Resolution tables'!$G$4:$G$36</c:f>
              <c:numCache>
                <c:formatCode>General</c:formatCode>
                <c:ptCount val="33"/>
                <c:pt idx="0">
                  <c:v>168.94736842105266</c:v>
                </c:pt>
                <c:pt idx="1">
                  <c:v>164.61538461538461</c:v>
                </c:pt>
                <c:pt idx="2">
                  <c:v>160.5</c:v>
                </c:pt>
                <c:pt idx="3">
                  <c:v>156.58536585365854</c:v>
                </c:pt>
                <c:pt idx="4">
                  <c:v>152.85714285714286</c:v>
                </c:pt>
                <c:pt idx="5">
                  <c:v>149.30232558139537</c:v>
                </c:pt>
                <c:pt idx="6">
                  <c:v>145.90909090909091</c:v>
                </c:pt>
                <c:pt idx="7">
                  <c:v>142.66666666666666</c:v>
                </c:pt>
                <c:pt idx="8">
                  <c:v>139.56521739130437</c:v>
                </c:pt>
                <c:pt idx="9">
                  <c:v>136.59574468085108</c:v>
                </c:pt>
                <c:pt idx="10">
                  <c:v>133.75</c:v>
                </c:pt>
                <c:pt idx="11">
                  <c:v>131.0204081632653</c:v>
                </c:pt>
                <c:pt idx="12">
                  <c:v>128.4</c:v>
                </c:pt>
                <c:pt idx="13">
                  <c:v>125.88235294117648</c:v>
                </c:pt>
                <c:pt idx="14">
                  <c:v>123.46153846153847</c:v>
                </c:pt>
                <c:pt idx="15">
                  <c:v>121.13207547169812</c:v>
                </c:pt>
                <c:pt idx="16">
                  <c:v>118.88888888888889</c:v>
                </c:pt>
                <c:pt idx="17">
                  <c:v>116.72727272727275</c:v>
                </c:pt>
                <c:pt idx="18">
                  <c:v>114.64285714285715</c:v>
                </c:pt>
                <c:pt idx="19">
                  <c:v>112.63157894736842</c:v>
                </c:pt>
                <c:pt idx="20">
                  <c:v>110.68965517241379</c:v>
                </c:pt>
                <c:pt idx="21">
                  <c:v>108.81355932203391</c:v>
                </c:pt>
                <c:pt idx="22">
                  <c:v>107.00000000000001</c:v>
                </c:pt>
                <c:pt idx="23">
                  <c:v>105.24590163934427</c:v>
                </c:pt>
                <c:pt idx="24">
                  <c:v>103.54838709677419</c:v>
                </c:pt>
                <c:pt idx="25">
                  <c:v>101.90476190476191</c:v>
                </c:pt>
                <c:pt idx="26">
                  <c:v>100.31250000000001</c:v>
                </c:pt>
                <c:pt idx="27">
                  <c:v>98.769230769230774</c:v>
                </c:pt>
                <c:pt idx="28">
                  <c:v>97.27272727272728</c:v>
                </c:pt>
                <c:pt idx="29">
                  <c:v>95.820895522388057</c:v>
                </c:pt>
                <c:pt idx="30">
                  <c:v>94.411764705882362</c:v>
                </c:pt>
                <c:pt idx="31">
                  <c:v>93.043478260869577</c:v>
                </c:pt>
                <c:pt idx="32">
                  <c:v>91.714285714285722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21120"/>
        <c:axId val="106823040"/>
      </c:lineChart>
      <c:catAx>
        <c:axId val="10682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823040"/>
        <c:crosses val="autoZero"/>
        <c:auto val="1"/>
        <c:lblAlgn val="ctr"/>
        <c:lblOffset val="100"/>
        <c:noMultiLvlLbl val="0"/>
      </c:catAx>
      <c:valAx>
        <c:axId val="106823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Velocity resolution (km/s)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821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28</xdr:row>
      <xdr:rowOff>119062</xdr:rowOff>
    </xdr:from>
    <xdr:to>
      <xdr:col>18</xdr:col>
      <xdr:colOff>95250</xdr:colOff>
      <xdr:row>45</xdr:row>
      <xdr:rowOff>76200</xdr:rowOff>
    </xdr:to>
    <xdr:graphicFrame macro="">
      <xdr:nvGraphicFramePr>
        <xdr:cNvPr id="5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28</xdr:row>
      <xdr:rowOff>147636</xdr:rowOff>
    </xdr:from>
    <xdr:to>
      <xdr:col>10</xdr:col>
      <xdr:colOff>533400</xdr:colOff>
      <xdr:row>45</xdr:row>
      <xdr:rowOff>95249</xdr:rowOff>
    </xdr:to>
    <xdr:graphicFrame macro="">
      <xdr:nvGraphicFramePr>
        <xdr:cNvPr id="6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733425</xdr:colOff>
      <xdr:row>15</xdr:row>
      <xdr:rowOff>171450</xdr:rowOff>
    </xdr:from>
    <xdr:to>
      <xdr:col>9</xdr:col>
      <xdr:colOff>733425</xdr:colOff>
      <xdr:row>17</xdr:row>
      <xdr:rowOff>9525</xdr:rowOff>
    </xdr:to>
    <xdr:cxnSp macro="">
      <xdr:nvCxnSpPr>
        <xdr:cNvPr id="8" name="Straight Arrow Connector 7"/>
        <xdr:cNvCxnSpPr/>
      </xdr:nvCxnSpPr>
      <xdr:spPr>
        <a:xfrm>
          <a:off x="7972425" y="32385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2085975</xdr:colOff>
      <xdr:row>15</xdr:row>
      <xdr:rowOff>180975</xdr:rowOff>
    </xdr:from>
    <xdr:to>
      <xdr:col>9</xdr:col>
      <xdr:colOff>2085975</xdr:colOff>
      <xdr:row>17</xdr:row>
      <xdr:rowOff>19050</xdr:rowOff>
    </xdr:to>
    <xdr:cxnSp macro="">
      <xdr:nvCxnSpPr>
        <xdr:cNvPr id="9" name="Straight Arrow Connector 8"/>
        <xdr:cNvCxnSpPr/>
      </xdr:nvCxnSpPr>
      <xdr:spPr>
        <a:xfrm>
          <a:off x="9324975" y="3248025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723900</xdr:colOff>
      <xdr:row>19</xdr:row>
      <xdr:rowOff>257175</xdr:rowOff>
    </xdr:from>
    <xdr:to>
      <xdr:col>9</xdr:col>
      <xdr:colOff>723900</xdr:colOff>
      <xdr:row>20</xdr:row>
      <xdr:rowOff>285750</xdr:rowOff>
    </xdr:to>
    <xdr:cxnSp macro="">
      <xdr:nvCxnSpPr>
        <xdr:cNvPr id="10" name="Straight Arrow Connector 9"/>
        <xdr:cNvCxnSpPr/>
      </xdr:nvCxnSpPr>
      <xdr:spPr>
        <a:xfrm>
          <a:off x="7962900" y="41910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2076450</xdr:colOff>
      <xdr:row>19</xdr:row>
      <xdr:rowOff>266700</xdr:rowOff>
    </xdr:from>
    <xdr:to>
      <xdr:col>9</xdr:col>
      <xdr:colOff>2076450</xdr:colOff>
      <xdr:row>21</xdr:row>
      <xdr:rowOff>0</xdr:rowOff>
    </xdr:to>
    <xdr:cxnSp macro="">
      <xdr:nvCxnSpPr>
        <xdr:cNvPr id="11" name="Straight Arrow Connector 10"/>
        <xdr:cNvCxnSpPr/>
      </xdr:nvCxnSpPr>
      <xdr:spPr>
        <a:xfrm>
          <a:off x="9315450" y="4200525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1647825</xdr:colOff>
      <xdr:row>16</xdr:row>
      <xdr:rowOff>114300</xdr:rowOff>
    </xdr:from>
    <xdr:to>
      <xdr:col>14</xdr:col>
      <xdr:colOff>1647825</xdr:colOff>
      <xdr:row>18</xdr:row>
      <xdr:rowOff>57150</xdr:rowOff>
    </xdr:to>
    <xdr:cxnSp macro="">
      <xdr:nvCxnSpPr>
        <xdr:cNvPr id="12" name="Straight Arrow Connector 11"/>
        <xdr:cNvCxnSpPr/>
      </xdr:nvCxnSpPr>
      <xdr:spPr>
        <a:xfrm>
          <a:off x="14144625" y="3476625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495300</xdr:colOff>
      <xdr:row>16</xdr:row>
      <xdr:rowOff>123825</xdr:rowOff>
    </xdr:from>
    <xdr:to>
      <xdr:col>14</xdr:col>
      <xdr:colOff>495300</xdr:colOff>
      <xdr:row>18</xdr:row>
      <xdr:rowOff>66675</xdr:rowOff>
    </xdr:to>
    <xdr:cxnSp macro="">
      <xdr:nvCxnSpPr>
        <xdr:cNvPr id="13" name="Straight Arrow Connector 12"/>
        <xdr:cNvCxnSpPr/>
      </xdr:nvCxnSpPr>
      <xdr:spPr>
        <a:xfrm>
          <a:off x="12992100" y="348615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8</xdr:row>
      <xdr:rowOff>190500</xdr:rowOff>
    </xdr:from>
    <xdr:to>
      <xdr:col>8</xdr:col>
      <xdr:colOff>161925</xdr:colOff>
      <xdr:row>8</xdr:row>
      <xdr:rowOff>190500</xdr:rowOff>
    </xdr:to>
    <xdr:cxnSp macro="">
      <xdr:nvCxnSpPr>
        <xdr:cNvPr id="14" name="Straight Arrow Connector 13"/>
        <xdr:cNvCxnSpPr/>
      </xdr:nvCxnSpPr>
      <xdr:spPr>
        <a:xfrm>
          <a:off x="6438900" y="1714500"/>
          <a:ext cx="3524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14</xdr:row>
      <xdr:rowOff>190500</xdr:rowOff>
    </xdr:from>
    <xdr:to>
      <xdr:col>8</xdr:col>
      <xdr:colOff>180975</xdr:colOff>
      <xdr:row>14</xdr:row>
      <xdr:rowOff>190500</xdr:rowOff>
    </xdr:to>
    <xdr:cxnSp macro="">
      <xdr:nvCxnSpPr>
        <xdr:cNvPr id="16" name="Straight Arrow Connector 15"/>
        <xdr:cNvCxnSpPr/>
      </xdr:nvCxnSpPr>
      <xdr:spPr>
        <a:xfrm>
          <a:off x="6457950" y="2962275"/>
          <a:ext cx="3524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26</xdr:row>
      <xdr:rowOff>95250</xdr:rowOff>
    </xdr:from>
    <xdr:to>
      <xdr:col>8</xdr:col>
      <xdr:colOff>257175</xdr:colOff>
      <xdr:row>26</xdr:row>
      <xdr:rowOff>95250</xdr:rowOff>
    </xdr:to>
    <xdr:cxnSp macro="">
      <xdr:nvCxnSpPr>
        <xdr:cNvPr id="17" name="Straight Arrow Connector 16"/>
        <xdr:cNvCxnSpPr/>
      </xdr:nvCxnSpPr>
      <xdr:spPr>
        <a:xfrm>
          <a:off x="6534150" y="5676900"/>
          <a:ext cx="3524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8"/>
  <sheetViews>
    <sheetView tabSelected="1" topLeftCell="B1" workbookViewId="0">
      <selection activeCell="C9" sqref="C9"/>
    </sheetView>
  </sheetViews>
  <sheetFormatPr defaultRowHeight="15" x14ac:dyDescent="0.25"/>
  <cols>
    <col min="3" max="3" width="35.42578125" bestFit="1" customWidth="1"/>
    <col min="10" max="10" width="42.28515625" customWidth="1"/>
    <col min="15" max="15" width="33" bestFit="1" customWidth="1"/>
  </cols>
  <sheetData>
    <row r="1" spans="1:17" x14ac:dyDescent="0.25">
      <c r="A1" s="7" t="s">
        <v>35</v>
      </c>
      <c r="B1" s="7"/>
      <c r="C1" s="7"/>
      <c r="D1" s="7"/>
      <c r="E1" s="7"/>
      <c r="F1" s="7"/>
      <c r="G1" s="7"/>
      <c r="H1" s="7"/>
      <c r="I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</row>
    <row r="7" spans="1:17" x14ac:dyDescent="0.25">
      <c r="C7" s="3" t="s">
        <v>36</v>
      </c>
    </row>
    <row r="9" spans="1:17" ht="23.25" x14ac:dyDescent="0.35">
      <c r="C9" s="3" t="s">
        <v>60</v>
      </c>
      <c r="F9" s="14">
        <v>2.5</v>
      </c>
      <c r="H9" t="s">
        <v>58</v>
      </c>
      <c r="J9" s="3" t="s">
        <v>37</v>
      </c>
      <c r="K9" s="11">
        <f>Calcs!H5</f>
        <v>1.6370238095238094</v>
      </c>
      <c r="L9" t="s">
        <v>24</v>
      </c>
    </row>
    <row r="10" spans="1:17" x14ac:dyDescent="0.25">
      <c r="J10" s="5" t="s">
        <v>43</v>
      </c>
    </row>
    <row r="11" spans="1:17" x14ac:dyDescent="0.25">
      <c r="J11" t="s">
        <v>44</v>
      </c>
      <c r="K11" s="9">
        <f>0.015*Calcs!H4</f>
        <v>0.4911071428571428</v>
      </c>
      <c r="L11" t="s">
        <v>24</v>
      </c>
    </row>
    <row r="15" spans="1:17" ht="23.25" x14ac:dyDescent="0.35">
      <c r="C15" s="3" t="s">
        <v>38</v>
      </c>
      <c r="F15" s="14">
        <v>18</v>
      </c>
      <c r="G15" t="s">
        <v>39</v>
      </c>
      <c r="H15" t="s">
        <v>58</v>
      </c>
      <c r="J15" s="8" t="s">
        <v>40</v>
      </c>
      <c r="K15" s="11">
        <f>Calcs!C18</f>
        <v>2.7777777777777781</v>
      </c>
      <c r="M15" s="5" t="s">
        <v>59</v>
      </c>
      <c r="O15" s="3" t="s">
        <v>45</v>
      </c>
      <c r="P15" s="13">
        <f>Calcs!H21</f>
        <v>2</v>
      </c>
      <c r="Q15" t="s">
        <v>52</v>
      </c>
    </row>
    <row r="16" spans="1:17" ht="23.25" x14ac:dyDescent="0.35">
      <c r="C16" t="str">
        <f>"=(Fibre apparent size @ spectrograph)"</f>
        <v>=(Fibre apparent size @ spectrograph)</v>
      </c>
      <c r="J16" s="8"/>
      <c r="O16" s="3" t="s">
        <v>50</v>
      </c>
      <c r="P16" s="13">
        <f>Calcs!H22</f>
        <v>3.1999999999999997</v>
      </c>
      <c r="Q16" t="s">
        <v>52</v>
      </c>
    </row>
    <row r="17" spans="3:18" x14ac:dyDescent="0.25">
      <c r="J17" s="5" t="s">
        <v>58</v>
      </c>
    </row>
    <row r="18" spans="3:18" x14ac:dyDescent="0.25">
      <c r="C18" s="5"/>
      <c r="O18" s="5" t="s">
        <v>58</v>
      </c>
    </row>
    <row r="19" spans="3:18" x14ac:dyDescent="0.25">
      <c r="J19" t="s">
        <v>41</v>
      </c>
      <c r="K19" s="12">
        <f>Calcs!H7</f>
        <v>12.777777777777779</v>
      </c>
      <c r="L19" t="s">
        <v>7</v>
      </c>
    </row>
    <row r="20" spans="3:18" ht="23.25" x14ac:dyDescent="0.35">
      <c r="O20" t="s">
        <v>46</v>
      </c>
      <c r="P20" t="s">
        <v>47</v>
      </c>
      <c r="Q20" s="13">
        <f>Calcs!H25</f>
        <v>2.14</v>
      </c>
      <c r="R20" t="s">
        <v>51</v>
      </c>
    </row>
    <row r="21" spans="3:18" ht="23.25" x14ac:dyDescent="0.35">
      <c r="J21" s="5" t="s">
        <v>58</v>
      </c>
      <c r="P21" t="s">
        <v>48</v>
      </c>
      <c r="Q21" s="13">
        <f>Calcs!H24</f>
        <v>8.6</v>
      </c>
      <c r="R21" t="s">
        <v>51</v>
      </c>
    </row>
    <row r="23" spans="3:18" ht="23.25" x14ac:dyDescent="0.35">
      <c r="J23" s="3" t="s">
        <v>42</v>
      </c>
      <c r="K23" s="13">
        <f>ROUNDDOWN(Calcs!H19,0)</f>
        <v>98</v>
      </c>
    </row>
    <row r="27" spans="3:18" x14ac:dyDescent="0.25">
      <c r="C27" s="3" t="s">
        <v>49</v>
      </c>
      <c r="F27" s="2">
        <v>0.8</v>
      </c>
      <c r="H27" t="s">
        <v>58</v>
      </c>
      <c r="J27" t="s">
        <v>53</v>
      </c>
      <c r="K27" s="10">
        <f>Calcs!C19</f>
        <v>35.000000000000007</v>
      </c>
    </row>
    <row r="28" spans="3:18" x14ac:dyDescent="0.25">
      <c r="C28" s="15" t="s">
        <v>54</v>
      </c>
    </row>
  </sheetData>
  <mergeCells count="1">
    <mergeCell ref="A1:I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5"/>
  <sheetViews>
    <sheetView workbookViewId="0">
      <selection activeCell="C17" sqref="C17"/>
    </sheetView>
  </sheetViews>
  <sheetFormatPr defaultRowHeight="15" x14ac:dyDescent="0.25"/>
  <cols>
    <col min="2" max="2" width="35" bestFit="1" customWidth="1"/>
    <col min="7" max="7" width="40.85546875" customWidth="1"/>
    <col min="12" max="12" width="27" bestFit="1" customWidth="1"/>
    <col min="14" max="14" width="24.28515625" bestFit="1" customWidth="1"/>
  </cols>
  <sheetData>
    <row r="4" spans="2:12" x14ac:dyDescent="0.25">
      <c r="B4" t="s">
        <v>0</v>
      </c>
      <c r="C4">
        <v>0.05</v>
      </c>
      <c r="D4" t="s">
        <v>7</v>
      </c>
      <c r="G4" t="s">
        <v>8</v>
      </c>
      <c r="H4">
        <f>(206265)/(C6*C15)</f>
        <v>32.740476190476187</v>
      </c>
      <c r="I4" t="s">
        <v>15</v>
      </c>
      <c r="L4" s="3"/>
    </row>
    <row r="5" spans="2:12" x14ac:dyDescent="0.25">
      <c r="B5" t="s">
        <v>1</v>
      </c>
      <c r="C5">
        <v>6.5000000000000002E-2</v>
      </c>
      <c r="D5" t="s">
        <v>7</v>
      </c>
      <c r="G5" t="s">
        <v>14</v>
      </c>
      <c r="H5">
        <f>H4*C4</f>
        <v>1.6370238095238094</v>
      </c>
      <c r="I5" t="s">
        <v>24</v>
      </c>
    </row>
    <row r="6" spans="2:12" x14ac:dyDescent="0.25">
      <c r="B6" t="s">
        <v>2</v>
      </c>
      <c r="C6">
        <v>400</v>
      </c>
      <c r="D6" t="s">
        <v>7</v>
      </c>
      <c r="G6" t="s">
        <v>9</v>
      </c>
      <c r="H6" s="1">
        <f>((PI()/(2*SQRT(3))*((C4/C5)^2)))</f>
        <v>0.53662703083852603</v>
      </c>
    </row>
    <row r="7" spans="2:12" x14ac:dyDescent="0.25">
      <c r="B7" t="s">
        <v>3</v>
      </c>
      <c r="C7">
        <v>6.3</v>
      </c>
      <c r="G7" t="s">
        <v>16</v>
      </c>
      <c r="H7">
        <f>C8*C18</f>
        <v>12.777777777777779</v>
      </c>
      <c r="I7" t="s">
        <v>7</v>
      </c>
    </row>
    <row r="8" spans="2:12" x14ac:dyDescent="0.25">
      <c r="B8" t="s">
        <v>6</v>
      </c>
      <c r="C8">
        <v>4.5999999999999996</v>
      </c>
      <c r="D8" t="s">
        <v>7</v>
      </c>
    </row>
    <row r="9" spans="2:12" x14ac:dyDescent="0.25">
      <c r="B9" t="s">
        <v>33</v>
      </c>
      <c r="C9">
        <v>8.9999999999999993E-3</v>
      </c>
      <c r="D9" t="s">
        <v>7</v>
      </c>
      <c r="G9" t="s">
        <v>18</v>
      </c>
      <c r="H9">
        <v>100</v>
      </c>
      <c r="I9" t="s">
        <v>20</v>
      </c>
    </row>
    <row r="11" spans="2:12" x14ac:dyDescent="0.25">
      <c r="B11" t="s">
        <v>31</v>
      </c>
      <c r="C11">
        <v>6.5000000000000002E-2</v>
      </c>
      <c r="D11" t="s">
        <v>7</v>
      </c>
    </row>
    <row r="12" spans="2:12" x14ac:dyDescent="0.25">
      <c r="B12" t="s">
        <v>34</v>
      </c>
      <c r="C12">
        <f>C11+(C5-C4)</f>
        <v>0.08</v>
      </c>
      <c r="D12" t="s">
        <v>7</v>
      </c>
    </row>
    <row r="14" spans="2:12" x14ac:dyDescent="0.25">
      <c r="B14" t="s">
        <v>4</v>
      </c>
      <c r="C14">
        <f>'Front of house'!F9</f>
        <v>2.5</v>
      </c>
      <c r="G14" t="s">
        <v>19</v>
      </c>
      <c r="H14">
        <v>1</v>
      </c>
      <c r="I14" t="s">
        <v>20</v>
      </c>
    </row>
    <row r="15" spans="2:12" x14ac:dyDescent="0.25">
      <c r="B15" t="s">
        <v>13</v>
      </c>
      <c r="C15">
        <f>C7*C14</f>
        <v>15.75</v>
      </c>
      <c r="G15" t="s">
        <v>10</v>
      </c>
      <c r="H15">
        <f>H9/H14</f>
        <v>100</v>
      </c>
      <c r="L15" s="4"/>
    </row>
    <row r="16" spans="2:12" x14ac:dyDescent="0.25">
      <c r="B16" t="s">
        <v>11</v>
      </c>
      <c r="C16">
        <v>0.8</v>
      </c>
      <c r="G16" t="s">
        <v>21</v>
      </c>
      <c r="H16">
        <v>90</v>
      </c>
      <c r="L16" s="4"/>
    </row>
    <row r="17" spans="2:8" x14ac:dyDescent="0.25">
      <c r="B17" t="s">
        <v>17</v>
      </c>
      <c r="C17">
        <f>C15*C16</f>
        <v>12.600000000000001</v>
      </c>
    </row>
    <row r="18" spans="2:8" x14ac:dyDescent="0.25">
      <c r="B18" t="s">
        <v>5</v>
      </c>
      <c r="C18">
        <f>C4/C21</f>
        <v>2.7777777777777781</v>
      </c>
    </row>
    <row r="19" spans="2:8" x14ac:dyDescent="0.25">
      <c r="B19" t="s">
        <v>12</v>
      </c>
      <c r="C19">
        <f>C17*C18</f>
        <v>35.000000000000007</v>
      </c>
      <c r="G19" t="s">
        <v>22</v>
      </c>
      <c r="H19">
        <f>H7/(C5+C11)</f>
        <v>98.290598290598297</v>
      </c>
    </row>
    <row r="21" spans="2:8" x14ac:dyDescent="0.25">
      <c r="B21" t="s">
        <v>32</v>
      </c>
      <c r="C21">
        <f>'Front of house'!F15/1000</f>
        <v>1.7999999999999999E-2</v>
      </c>
      <c r="D21" t="s">
        <v>7</v>
      </c>
      <c r="G21" t="s">
        <v>23</v>
      </c>
      <c r="H21">
        <f>C21/C9</f>
        <v>2</v>
      </c>
    </row>
    <row r="22" spans="2:8" x14ac:dyDescent="0.25">
      <c r="G22" t="s">
        <v>30</v>
      </c>
      <c r="H22">
        <f>(C12/(C18*C9))</f>
        <v>3.1999999999999997</v>
      </c>
    </row>
    <row r="24" spans="2:8" x14ac:dyDescent="0.25">
      <c r="B24" t="s">
        <v>25</v>
      </c>
      <c r="C24">
        <v>4.3</v>
      </c>
      <c r="D24" t="s">
        <v>26</v>
      </c>
      <c r="G24" t="s">
        <v>28</v>
      </c>
      <c r="H24">
        <f>H21*C24</f>
        <v>8.6</v>
      </c>
    </row>
    <row r="25" spans="2:8" x14ac:dyDescent="0.25">
      <c r="B25" t="s">
        <v>27</v>
      </c>
      <c r="C25">
        <v>1.07</v>
      </c>
      <c r="D25" t="s">
        <v>26</v>
      </c>
      <c r="G25" t="s">
        <v>29</v>
      </c>
      <c r="H25">
        <f>H21*C25</f>
        <v>2.14</v>
      </c>
    </row>
  </sheetData>
  <dataConsolidate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workbookViewId="0">
      <selection activeCell="F3" sqref="F3:G36"/>
    </sheetView>
  </sheetViews>
  <sheetFormatPr defaultRowHeight="15" x14ac:dyDescent="0.25"/>
  <cols>
    <col min="2" max="2" width="11.7109375" bestFit="1" customWidth="1"/>
    <col min="6" max="6" width="11.85546875" bestFit="1" customWidth="1"/>
  </cols>
  <sheetData>
    <row r="2" spans="2:7" x14ac:dyDescent="0.25">
      <c r="C2" s="6" t="s">
        <v>56</v>
      </c>
      <c r="D2" s="6"/>
      <c r="F2" t="s">
        <v>57</v>
      </c>
    </row>
    <row r="3" spans="2:7" x14ac:dyDescent="0.25">
      <c r="B3" t="s">
        <v>55</v>
      </c>
      <c r="C3" t="s">
        <v>48</v>
      </c>
      <c r="D3" t="s">
        <v>47</v>
      </c>
      <c r="F3" t="s">
        <v>48</v>
      </c>
      <c r="G3" t="s">
        <v>47</v>
      </c>
    </row>
    <row r="4" spans="2:7" x14ac:dyDescent="0.25">
      <c r="B4">
        <v>3800</v>
      </c>
      <c r="C4">
        <f>B4/Calcs!$H$24</f>
        <v>441.8604651162791</v>
      </c>
      <c r="D4">
        <f>B4/Calcs!$H$25</f>
        <v>1775.700934579439</v>
      </c>
      <c r="F4">
        <f>300000/C4</f>
        <v>678.9473684210526</v>
      </c>
      <c r="G4">
        <f>300000/D4</f>
        <v>168.94736842105266</v>
      </c>
    </row>
    <row r="5" spans="2:7" x14ac:dyDescent="0.25">
      <c r="B5">
        <f>B4+100</f>
        <v>3900</v>
      </c>
      <c r="C5">
        <f>B5/Calcs!$H$24</f>
        <v>453.48837209302326</v>
      </c>
      <c r="D5">
        <f>B5/Calcs!$H$25</f>
        <v>1822.429906542056</v>
      </c>
      <c r="F5">
        <f t="shared" ref="F5:F36" si="0">300000/C5</f>
        <v>661.53846153846155</v>
      </c>
      <c r="G5">
        <f t="shared" ref="G5:G36" si="1">300000/D5</f>
        <v>164.61538461538461</v>
      </c>
    </row>
    <row r="6" spans="2:7" x14ac:dyDescent="0.25">
      <c r="B6">
        <f t="shared" ref="B6:B38" si="2">B5+100</f>
        <v>4000</v>
      </c>
      <c r="C6">
        <f>B6/Calcs!$H$24</f>
        <v>465.11627906976747</v>
      </c>
      <c r="D6">
        <f>B6/Calcs!$H$25</f>
        <v>1869.1588785046729</v>
      </c>
      <c r="F6">
        <f t="shared" si="0"/>
        <v>645</v>
      </c>
      <c r="G6">
        <f t="shared" si="1"/>
        <v>160.5</v>
      </c>
    </row>
    <row r="7" spans="2:7" x14ac:dyDescent="0.25">
      <c r="B7">
        <f t="shared" si="2"/>
        <v>4100</v>
      </c>
      <c r="C7">
        <f>B7/Calcs!$H$24</f>
        <v>476.74418604651163</v>
      </c>
      <c r="D7">
        <f>B7/Calcs!$H$25</f>
        <v>1915.8878504672896</v>
      </c>
      <c r="F7">
        <f t="shared" si="0"/>
        <v>629.26829268292681</v>
      </c>
      <c r="G7">
        <f t="shared" si="1"/>
        <v>156.58536585365854</v>
      </c>
    </row>
    <row r="8" spans="2:7" x14ac:dyDescent="0.25">
      <c r="B8">
        <f t="shared" si="2"/>
        <v>4200</v>
      </c>
      <c r="C8">
        <f>B8/Calcs!$H$24</f>
        <v>488.37209302325584</v>
      </c>
      <c r="D8">
        <f>B8/Calcs!$H$25</f>
        <v>1962.6168224299065</v>
      </c>
      <c r="F8">
        <f t="shared" si="0"/>
        <v>614.28571428571422</v>
      </c>
      <c r="G8">
        <f t="shared" si="1"/>
        <v>152.85714285714286</v>
      </c>
    </row>
    <row r="9" spans="2:7" x14ac:dyDescent="0.25">
      <c r="B9">
        <f t="shared" si="2"/>
        <v>4300</v>
      </c>
      <c r="C9">
        <f>B9/Calcs!$H$24</f>
        <v>500</v>
      </c>
      <c r="D9">
        <f>B9/Calcs!$H$25</f>
        <v>2009.3457943925232</v>
      </c>
      <c r="F9">
        <f t="shared" si="0"/>
        <v>600</v>
      </c>
      <c r="G9">
        <f t="shared" si="1"/>
        <v>149.30232558139537</v>
      </c>
    </row>
    <row r="10" spans="2:7" x14ac:dyDescent="0.25">
      <c r="B10">
        <f t="shared" si="2"/>
        <v>4400</v>
      </c>
      <c r="C10">
        <f>B10/Calcs!$H$24</f>
        <v>511.62790697674421</v>
      </c>
      <c r="D10">
        <f>B10/Calcs!$H$25</f>
        <v>2056.0747663551401</v>
      </c>
      <c r="F10">
        <f t="shared" si="0"/>
        <v>586.36363636363637</v>
      </c>
      <c r="G10">
        <f t="shared" si="1"/>
        <v>145.90909090909091</v>
      </c>
    </row>
    <row r="11" spans="2:7" x14ac:dyDescent="0.25">
      <c r="B11">
        <f t="shared" si="2"/>
        <v>4500</v>
      </c>
      <c r="C11">
        <f>B11/Calcs!$H$24</f>
        <v>523.25581395348843</v>
      </c>
      <c r="D11">
        <f>B11/Calcs!$H$25</f>
        <v>2102.8037383177571</v>
      </c>
      <c r="F11">
        <f t="shared" si="0"/>
        <v>573.33333333333326</v>
      </c>
      <c r="G11">
        <f t="shared" si="1"/>
        <v>142.66666666666666</v>
      </c>
    </row>
    <row r="12" spans="2:7" x14ac:dyDescent="0.25">
      <c r="B12">
        <f t="shared" si="2"/>
        <v>4600</v>
      </c>
      <c r="C12">
        <f>B12/Calcs!$H$24</f>
        <v>534.88372093023258</v>
      </c>
      <c r="D12">
        <f>B12/Calcs!$H$25</f>
        <v>2149.5327102803735</v>
      </c>
      <c r="F12">
        <f t="shared" si="0"/>
        <v>560.86956521739125</v>
      </c>
      <c r="G12">
        <f t="shared" si="1"/>
        <v>139.56521739130437</v>
      </c>
    </row>
    <row r="13" spans="2:7" x14ac:dyDescent="0.25">
      <c r="B13">
        <f t="shared" si="2"/>
        <v>4700</v>
      </c>
      <c r="C13">
        <f>B13/Calcs!$H$24</f>
        <v>546.51162790697674</v>
      </c>
      <c r="D13">
        <f>B13/Calcs!$H$25</f>
        <v>2196.2616822429904</v>
      </c>
      <c r="F13">
        <f t="shared" si="0"/>
        <v>548.936170212766</v>
      </c>
      <c r="G13">
        <f t="shared" si="1"/>
        <v>136.59574468085108</v>
      </c>
    </row>
    <row r="14" spans="2:7" x14ac:dyDescent="0.25">
      <c r="B14">
        <f t="shared" si="2"/>
        <v>4800</v>
      </c>
      <c r="C14">
        <f>B14/Calcs!$H$24</f>
        <v>558.1395348837209</v>
      </c>
      <c r="D14">
        <f>B14/Calcs!$H$25</f>
        <v>2242.9906542056074</v>
      </c>
      <c r="F14">
        <f t="shared" si="0"/>
        <v>537.5</v>
      </c>
      <c r="G14">
        <f t="shared" si="1"/>
        <v>133.75</v>
      </c>
    </row>
    <row r="15" spans="2:7" x14ac:dyDescent="0.25">
      <c r="B15">
        <f t="shared" si="2"/>
        <v>4900</v>
      </c>
      <c r="C15">
        <f>B15/Calcs!$H$24</f>
        <v>569.76744186046517</v>
      </c>
      <c r="D15">
        <f>B15/Calcs!$H$25</f>
        <v>2289.7196261682243</v>
      </c>
      <c r="F15">
        <f t="shared" si="0"/>
        <v>526.53061224489795</v>
      </c>
      <c r="G15">
        <f t="shared" si="1"/>
        <v>131.0204081632653</v>
      </c>
    </row>
    <row r="16" spans="2:7" x14ac:dyDescent="0.25">
      <c r="B16">
        <f t="shared" si="2"/>
        <v>5000</v>
      </c>
      <c r="C16">
        <f>B16/Calcs!$H$24</f>
        <v>581.39534883720933</v>
      </c>
      <c r="D16">
        <f>B16/Calcs!$H$25</f>
        <v>2336.4485981308408</v>
      </c>
      <c r="F16">
        <f t="shared" si="0"/>
        <v>516</v>
      </c>
      <c r="G16">
        <f t="shared" si="1"/>
        <v>128.4</v>
      </c>
    </row>
    <row r="17" spans="2:7" x14ac:dyDescent="0.25">
      <c r="B17">
        <f t="shared" si="2"/>
        <v>5100</v>
      </c>
      <c r="C17">
        <f>B17/Calcs!$H$24</f>
        <v>593.02325581395348</v>
      </c>
      <c r="D17">
        <f>B17/Calcs!$H$25</f>
        <v>2383.1775700934577</v>
      </c>
      <c r="F17">
        <f t="shared" si="0"/>
        <v>505.88235294117646</v>
      </c>
      <c r="G17">
        <f t="shared" si="1"/>
        <v>125.88235294117648</v>
      </c>
    </row>
    <row r="18" spans="2:7" x14ac:dyDescent="0.25">
      <c r="B18">
        <f t="shared" si="2"/>
        <v>5200</v>
      </c>
      <c r="C18">
        <f>B18/Calcs!$H$24</f>
        <v>604.65116279069775</v>
      </c>
      <c r="D18">
        <f>B18/Calcs!$H$25</f>
        <v>2429.9065420560746</v>
      </c>
      <c r="F18">
        <f t="shared" si="0"/>
        <v>496.15384615384608</v>
      </c>
      <c r="G18">
        <f t="shared" si="1"/>
        <v>123.46153846153847</v>
      </c>
    </row>
    <row r="19" spans="2:7" x14ac:dyDescent="0.25">
      <c r="B19">
        <f t="shared" si="2"/>
        <v>5300</v>
      </c>
      <c r="C19">
        <f>B19/Calcs!$H$24</f>
        <v>616.27906976744191</v>
      </c>
      <c r="D19">
        <f>B19/Calcs!$H$25</f>
        <v>2476.6355140186915</v>
      </c>
      <c r="F19">
        <f t="shared" si="0"/>
        <v>486.79245283018867</v>
      </c>
      <c r="G19">
        <f t="shared" si="1"/>
        <v>121.13207547169812</v>
      </c>
    </row>
    <row r="20" spans="2:7" x14ac:dyDescent="0.25">
      <c r="B20">
        <f t="shared" si="2"/>
        <v>5400</v>
      </c>
      <c r="C20">
        <f>B20/Calcs!$H$24</f>
        <v>627.90697674418607</v>
      </c>
      <c r="D20">
        <f>B20/Calcs!$H$25</f>
        <v>2523.3644859813085</v>
      </c>
      <c r="F20">
        <f t="shared" si="0"/>
        <v>477.77777777777777</v>
      </c>
      <c r="G20">
        <f t="shared" si="1"/>
        <v>118.88888888888889</v>
      </c>
    </row>
    <row r="21" spans="2:7" x14ac:dyDescent="0.25">
      <c r="B21">
        <f t="shared" si="2"/>
        <v>5500</v>
      </c>
      <c r="C21">
        <f>B21/Calcs!$H$24</f>
        <v>639.53488372093022</v>
      </c>
      <c r="D21">
        <f>B21/Calcs!$H$25</f>
        <v>2570.0934579439249</v>
      </c>
      <c r="F21">
        <f t="shared" si="0"/>
        <v>469.09090909090912</v>
      </c>
      <c r="G21">
        <f t="shared" si="1"/>
        <v>116.72727272727275</v>
      </c>
    </row>
    <row r="22" spans="2:7" x14ac:dyDescent="0.25">
      <c r="B22">
        <f t="shared" si="2"/>
        <v>5600</v>
      </c>
      <c r="C22">
        <f>B22/Calcs!$H$24</f>
        <v>651.1627906976745</v>
      </c>
      <c r="D22">
        <f>B22/Calcs!$H$25</f>
        <v>2616.8224299065419</v>
      </c>
      <c r="F22">
        <f t="shared" si="0"/>
        <v>460.71428571428567</v>
      </c>
      <c r="G22">
        <f t="shared" si="1"/>
        <v>114.64285714285715</v>
      </c>
    </row>
    <row r="23" spans="2:7" x14ac:dyDescent="0.25">
      <c r="B23">
        <f t="shared" si="2"/>
        <v>5700</v>
      </c>
      <c r="C23">
        <f>B23/Calcs!$H$24</f>
        <v>662.79069767441865</v>
      </c>
      <c r="D23">
        <f>B23/Calcs!$H$25</f>
        <v>2663.5514018691588</v>
      </c>
      <c r="F23">
        <f t="shared" si="0"/>
        <v>452.63157894736838</v>
      </c>
      <c r="G23">
        <f t="shared" si="1"/>
        <v>112.63157894736842</v>
      </c>
    </row>
    <row r="24" spans="2:7" x14ac:dyDescent="0.25">
      <c r="B24">
        <f t="shared" si="2"/>
        <v>5800</v>
      </c>
      <c r="C24">
        <f>B24/Calcs!$H$24</f>
        <v>674.41860465116281</v>
      </c>
      <c r="D24">
        <f>B24/Calcs!$H$25</f>
        <v>2710.2803738317757</v>
      </c>
      <c r="F24">
        <f t="shared" si="0"/>
        <v>444.82758620689651</v>
      </c>
      <c r="G24">
        <f t="shared" si="1"/>
        <v>110.68965517241379</v>
      </c>
    </row>
    <row r="25" spans="2:7" x14ac:dyDescent="0.25">
      <c r="B25">
        <f t="shared" si="2"/>
        <v>5900</v>
      </c>
      <c r="C25">
        <f>B25/Calcs!$H$24</f>
        <v>686.04651162790697</v>
      </c>
      <c r="D25">
        <f>B25/Calcs!$H$25</f>
        <v>2757.0093457943922</v>
      </c>
      <c r="F25">
        <f t="shared" si="0"/>
        <v>437.28813559322032</v>
      </c>
      <c r="G25">
        <f t="shared" si="1"/>
        <v>108.81355932203391</v>
      </c>
    </row>
    <row r="26" spans="2:7" x14ac:dyDescent="0.25">
      <c r="B26">
        <f t="shared" si="2"/>
        <v>6000</v>
      </c>
      <c r="C26">
        <f>B26/Calcs!$H$24</f>
        <v>697.67441860465124</v>
      </c>
      <c r="D26">
        <f>B26/Calcs!$H$25</f>
        <v>2803.7383177570091</v>
      </c>
      <c r="F26">
        <f t="shared" si="0"/>
        <v>429.99999999999994</v>
      </c>
      <c r="G26">
        <f t="shared" si="1"/>
        <v>107.00000000000001</v>
      </c>
    </row>
    <row r="27" spans="2:7" x14ac:dyDescent="0.25">
      <c r="B27">
        <f t="shared" si="2"/>
        <v>6100</v>
      </c>
      <c r="C27">
        <f>B27/Calcs!$H$24</f>
        <v>709.30232558139539</v>
      </c>
      <c r="D27">
        <f>B27/Calcs!$H$25</f>
        <v>2850.467289719626</v>
      </c>
      <c r="F27">
        <f t="shared" si="0"/>
        <v>422.9508196721311</v>
      </c>
      <c r="G27">
        <f t="shared" si="1"/>
        <v>105.24590163934427</v>
      </c>
    </row>
    <row r="28" spans="2:7" x14ac:dyDescent="0.25">
      <c r="B28">
        <f t="shared" si="2"/>
        <v>6200</v>
      </c>
      <c r="C28">
        <f>B28/Calcs!$H$24</f>
        <v>720.93023255813955</v>
      </c>
      <c r="D28">
        <f>B28/Calcs!$H$25</f>
        <v>2897.1962616822429</v>
      </c>
      <c r="F28">
        <f t="shared" si="0"/>
        <v>416.12903225806451</v>
      </c>
      <c r="G28">
        <f t="shared" si="1"/>
        <v>103.54838709677419</v>
      </c>
    </row>
    <row r="29" spans="2:7" x14ac:dyDescent="0.25">
      <c r="B29">
        <f t="shared" si="2"/>
        <v>6300</v>
      </c>
      <c r="C29">
        <f>B29/Calcs!$H$24</f>
        <v>732.55813953488371</v>
      </c>
      <c r="D29">
        <f>B29/Calcs!$H$25</f>
        <v>2943.9252336448594</v>
      </c>
      <c r="F29">
        <f t="shared" si="0"/>
        <v>409.52380952380952</v>
      </c>
      <c r="G29">
        <f t="shared" si="1"/>
        <v>101.90476190476191</v>
      </c>
    </row>
    <row r="30" spans="2:7" x14ac:dyDescent="0.25">
      <c r="B30">
        <f>B29+100</f>
        <v>6400</v>
      </c>
      <c r="C30">
        <f>B30/Calcs!$H$24</f>
        <v>744.18604651162798</v>
      </c>
      <c r="D30">
        <f>B30/Calcs!$H$25</f>
        <v>2990.6542056074763</v>
      </c>
      <c r="F30">
        <f t="shared" si="0"/>
        <v>403.12499999999994</v>
      </c>
      <c r="G30">
        <f t="shared" si="1"/>
        <v>100.31250000000001</v>
      </c>
    </row>
    <row r="31" spans="2:7" x14ac:dyDescent="0.25">
      <c r="B31">
        <f t="shared" si="2"/>
        <v>6500</v>
      </c>
      <c r="C31">
        <f>B31/Calcs!$H$24</f>
        <v>755.81395348837214</v>
      </c>
      <c r="D31">
        <f>B31/Calcs!$H$25</f>
        <v>3037.3831775700933</v>
      </c>
      <c r="F31">
        <f t="shared" si="0"/>
        <v>396.92307692307691</v>
      </c>
      <c r="G31">
        <f t="shared" si="1"/>
        <v>98.769230769230774</v>
      </c>
    </row>
    <row r="32" spans="2:7" x14ac:dyDescent="0.25">
      <c r="B32">
        <f t="shared" si="2"/>
        <v>6600</v>
      </c>
      <c r="C32">
        <f>B32/Calcs!$H$24</f>
        <v>767.44186046511629</v>
      </c>
      <c r="D32">
        <f>B32/Calcs!$H$25</f>
        <v>3084.1121495327102</v>
      </c>
      <c r="F32">
        <f t="shared" si="0"/>
        <v>390.90909090909088</v>
      </c>
      <c r="G32">
        <f t="shared" si="1"/>
        <v>97.27272727272728</v>
      </c>
    </row>
    <row r="33" spans="2:7" x14ac:dyDescent="0.25">
      <c r="B33">
        <f t="shared" si="2"/>
        <v>6700</v>
      </c>
      <c r="C33">
        <f>B33/Calcs!$H$24</f>
        <v>779.06976744186045</v>
      </c>
      <c r="D33">
        <f>B33/Calcs!$H$25</f>
        <v>3130.8411214953271</v>
      </c>
      <c r="F33">
        <f t="shared" si="0"/>
        <v>385.07462686567163</v>
      </c>
      <c r="G33">
        <f t="shared" si="1"/>
        <v>95.820895522388057</v>
      </c>
    </row>
    <row r="34" spans="2:7" x14ac:dyDescent="0.25">
      <c r="B34">
        <f t="shared" si="2"/>
        <v>6800</v>
      </c>
      <c r="C34">
        <f>B34/Calcs!$H$24</f>
        <v>790.69767441860472</v>
      </c>
      <c r="D34">
        <f>B34/Calcs!$H$25</f>
        <v>3177.5700934579436</v>
      </c>
      <c r="F34">
        <f t="shared" si="0"/>
        <v>379.41176470588232</v>
      </c>
      <c r="G34">
        <f t="shared" si="1"/>
        <v>94.411764705882362</v>
      </c>
    </row>
    <row r="35" spans="2:7" x14ac:dyDescent="0.25">
      <c r="B35">
        <f t="shared" si="2"/>
        <v>6900</v>
      </c>
      <c r="C35">
        <f>B35/Calcs!$H$24</f>
        <v>802.32558139534888</v>
      </c>
      <c r="D35">
        <f>B35/Calcs!$H$25</f>
        <v>3224.2990654205605</v>
      </c>
      <c r="F35">
        <f t="shared" si="0"/>
        <v>373.91304347826087</v>
      </c>
      <c r="G35">
        <f t="shared" si="1"/>
        <v>93.043478260869577</v>
      </c>
    </row>
    <row r="36" spans="2:7" x14ac:dyDescent="0.25">
      <c r="B36">
        <f t="shared" si="2"/>
        <v>7000</v>
      </c>
      <c r="C36">
        <f>B36/Calcs!$H$24</f>
        <v>813.95348837209303</v>
      </c>
      <c r="D36">
        <f>B36/Calcs!$H$25</f>
        <v>3271.0280373831774</v>
      </c>
      <c r="F36">
        <f t="shared" si="0"/>
        <v>368.57142857142856</v>
      </c>
      <c r="G36">
        <f t="shared" si="1"/>
        <v>91.714285714285722</v>
      </c>
    </row>
  </sheetData>
  <mergeCells count="1"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of house</vt:lpstr>
      <vt:lpstr>Calcs</vt:lpstr>
      <vt:lpstr>Resolution 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2013-10-21T16:42:21Z</dcterms:created>
  <dcterms:modified xsi:type="dcterms:W3CDTF">2013-10-22T14:34:17Z</dcterms:modified>
</cp:coreProperties>
</file>